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5295" windowHeight="391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'Sheet1'!$A$1:$K$35</definedName>
  </definedNames>
  <calcPr fullCalcOnLoad="1"/>
</workbook>
</file>

<file path=xl/sharedStrings.xml><?xml version="1.0" encoding="utf-8"?>
<sst xmlns="http://schemas.openxmlformats.org/spreadsheetml/2006/main" count="94" uniqueCount="70">
  <si>
    <t>layer repulsion</t>
  </si>
  <si>
    <t>Electric double</t>
  </si>
  <si>
    <t xml:space="preserve"> - constant potential</t>
  </si>
  <si>
    <t xml:space="preserve"> - constant charge</t>
  </si>
  <si>
    <t>particle radius:</t>
  </si>
  <si>
    <t>m</t>
  </si>
  <si>
    <t>Dielectric constant (epsilon):</t>
  </si>
  <si>
    <t>Boltzman constant (kB):</t>
  </si>
  <si>
    <t>Number concentration of ion one:</t>
  </si>
  <si>
    <t>Number concentration of ion two:</t>
  </si>
  <si>
    <t>Electron charge:</t>
  </si>
  <si>
    <t>C</t>
  </si>
  <si>
    <t>K</t>
  </si>
  <si>
    <t>Temperature:</t>
  </si>
  <si>
    <t>Valence of ion one:</t>
  </si>
  <si>
    <t>Valence of ion two:</t>
  </si>
  <si>
    <t>Molarity of ion one:</t>
  </si>
  <si>
    <t>Molarity of ion two:</t>
  </si>
  <si>
    <t>M</t>
  </si>
  <si>
    <t>V</t>
  </si>
  <si>
    <t>Kappa.particle radius (should be &gt;&gt;1):</t>
  </si>
  <si>
    <t>Separation</t>
  </si>
  <si>
    <t>distance</t>
  </si>
  <si>
    <t>Surface potential/Zeta (phi one)</t>
  </si>
  <si>
    <t>Surface potential/Zeta (phi two)</t>
  </si>
  <si>
    <t>(um)</t>
  </si>
  <si>
    <t>(m)</t>
  </si>
  <si>
    <t>(V)</t>
  </si>
  <si>
    <r>
      <t>J</t>
    </r>
    <r>
      <rPr>
        <vertAlign val="superscript"/>
        <sz val="10"/>
        <rFont val="Arial"/>
        <family val="2"/>
      </rPr>
      <t>-1</t>
    </r>
    <r>
      <rPr>
        <sz val="10"/>
        <rFont val="Arial"/>
        <family val="0"/>
      </rPr>
      <t xml:space="preserve"> C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 xml:space="preserve"> m</t>
    </r>
    <r>
      <rPr>
        <vertAlign val="superscript"/>
        <sz val="10"/>
        <rFont val="Arial"/>
        <family val="2"/>
      </rPr>
      <t>-1</t>
    </r>
  </si>
  <si>
    <r>
      <t>J K</t>
    </r>
    <r>
      <rPr>
        <vertAlign val="superscript"/>
        <sz val="10"/>
        <rFont val="Arial"/>
        <family val="2"/>
      </rPr>
      <t>-1</t>
    </r>
  </si>
  <si>
    <r>
      <t>number m</t>
    </r>
    <r>
      <rPr>
        <vertAlign val="superscript"/>
        <sz val="10"/>
        <rFont val="Arial"/>
        <family val="2"/>
      </rPr>
      <t>-3</t>
    </r>
  </si>
  <si>
    <r>
      <t>m</t>
    </r>
    <r>
      <rPr>
        <vertAlign val="superscript"/>
        <sz val="10"/>
        <rFont val="Arial"/>
        <family val="2"/>
      </rPr>
      <t>-1</t>
    </r>
  </si>
  <si>
    <t>Permittivity of a vacuum:</t>
  </si>
  <si>
    <t>Dimensionless dielectric:</t>
  </si>
  <si>
    <t>N.B.</t>
  </si>
  <si>
    <t>Hamaker constant A11</t>
  </si>
  <si>
    <t>Hamaker constant A33</t>
  </si>
  <si>
    <t>Hamaker constant A22</t>
  </si>
  <si>
    <t>J</t>
  </si>
  <si>
    <t>Hamaker composite:</t>
  </si>
  <si>
    <t>H</t>
  </si>
  <si>
    <t>London -</t>
  </si>
  <si>
    <t>van der Waals</t>
  </si>
  <si>
    <t>interaction</t>
  </si>
  <si>
    <t>Total</t>
  </si>
  <si>
    <t>energy</t>
  </si>
  <si>
    <t>Dimensionless</t>
  </si>
  <si>
    <t>Particles sit in potential well</t>
  </si>
  <si>
    <t>and may join on spikey bits!</t>
  </si>
  <si>
    <t>Inverse Debye length (kappa):</t>
  </si>
  <si>
    <t>yellow for van der Waal's inputs</t>
  </si>
  <si>
    <t>orange for electrical double layer repulsion inputs</t>
  </si>
  <si>
    <r>
      <t>F m</t>
    </r>
    <r>
      <rPr>
        <vertAlign val="superscript"/>
        <sz val="10"/>
        <rFont val="Arial"/>
        <family val="2"/>
      </rPr>
      <t>-1</t>
    </r>
  </si>
  <si>
    <t>INPUTS:</t>
  </si>
  <si>
    <t>CALCULATED VALUES:</t>
  </si>
  <si>
    <t>BASED ON CONSTANT POTENTIAL</t>
  </si>
  <si>
    <t>Approximate</t>
  </si>
  <si>
    <t>force on</t>
  </si>
  <si>
    <t>particle</t>
  </si>
  <si>
    <t>(N)</t>
  </si>
  <si>
    <t>For particle attraction/repulsion we</t>
  </si>
  <si>
    <t>need to consider the forces - see</t>
  </si>
  <si>
    <t>the last column below.</t>
  </si>
  <si>
    <t>Force</t>
  </si>
  <si>
    <t>(-)</t>
  </si>
  <si>
    <t>Approx.</t>
  </si>
  <si>
    <t>For sea</t>
  </si>
  <si>
    <t>water in an</t>
  </si>
  <si>
    <t>estuary use</t>
  </si>
  <si>
    <t>0.3 M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</si>
</sst>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7">
    <font>
      <sz val="10"/>
      <name val="Arial"/>
      <family val="0"/>
    </font>
    <font>
      <vertAlign val="superscript"/>
      <sz val="10"/>
      <name val="Arial"/>
      <family val="2"/>
    </font>
    <font>
      <b/>
      <sz val="10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b/>
      <sz val="8"/>
      <name val="Arial"/>
      <family val="0"/>
    </font>
    <font>
      <i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11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2" borderId="0" xfId="0" applyFill="1" applyAlignment="1">
      <alignment/>
    </xf>
    <xf numFmtId="11" fontId="0" fillId="2" borderId="0" xfId="0" applyNumberFormat="1" applyFill="1" applyAlignment="1">
      <alignment/>
    </xf>
    <xf numFmtId="0" fontId="0" fillId="3" borderId="0" xfId="0" applyFill="1" applyAlignment="1">
      <alignment/>
    </xf>
    <xf numFmtId="11" fontId="0" fillId="3" borderId="0" xfId="0" applyNumberFormat="1" applyFill="1" applyAlignment="1">
      <alignment/>
    </xf>
    <xf numFmtId="0" fontId="2" fillId="3" borderId="0" xfId="0" applyFont="1" applyFill="1" applyAlignment="1">
      <alignment/>
    </xf>
    <xf numFmtId="0" fontId="6" fillId="2" borderId="0" xfId="0" applyFont="1" applyFill="1" applyAlignment="1">
      <alignment/>
    </xf>
    <xf numFmtId="0" fontId="6" fillId="3" borderId="0" xfId="0" applyFont="1" applyFill="1" applyAlignment="1">
      <alignment/>
    </xf>
    <xf numFmtId="0" fontId="0" fillId="4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Sheet1!$A$26:$A$34</c:f>
              <c:numCache/>
            </c:numRef>
          </c:xVal>
          <c:yVal>
            <c:numRef>
              <c:f>Sheet1!$H$26:$H$34</c:f>
              <c:numCache/>
            </c:numRef>
          </c:yVal>
          <c:smooth val="1"/>
        </c:ser>
        <c:axId val="5157335"/>
        <c:axId val="46416016"/>
      </c:scatterChart>
      <c:valAx>
        <c:axId val="5157335"/>
        <c:scaling>
          <c:orientation val="minMax"/>
          <c:max val="0.1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Separation distance, microns.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416016"/>
        <c:crosses val="autoZero"/>
        <c:crossBetween val="midCat"/>
        <c:dispUnits/>
      </c:valAx>
      <c:valAx>
        <c:axId val="46416016"/>
        <c:scaling>
          <c:orientation val="minMax"/>
          <c:max val="10"/>
          <c:min val="-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Dimensionless interaction energy.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57335"/>
        <c:crosses val="autoZero"/>
        <c:crossBetween val="midCat"/>
        <c:dispUnits/>
        <c:majorUnit val="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171450</xdr:colOff>
      <xdr:row>7</xdr:row>
      <xdr:rowOff>28575</xdr:rowOff>
    </xdr:from>
    <xdr:to>
      <xdr:col>11</xdr:col>
      <xdr:colOff>85725</xdr:colOff>
      <xdr:row>20</xdr:row>
      <xdr:rowOff>19050</xdr:rowOff>
    </xdr:to>
    <xdr:graphicFrame>
      <xdr:nvGraphicFramePr>
        <xdr:cNvPr id="1" name="Chart 3"/>
        <xdr:cNvGraphicFramePr/>
      </xdr:nvGraphicFramePr>
      <xdr:xfrm>
        <a:off x="5962650" y="1200150"/>
        <a:ext cx="4133850" cy="2190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tabSelected="1" zoomScale="85" zoomScaleNormal="85" workbookViewId="0" topLeftCell="A1">
      <selection activeCell="F6" sqref="F6"/>
    </sheetView>
  </sheetViews>
  <sheetFormatPr defaultColWidth="9.140625" defaultRowHeight="12.75"/>
  <cols>
    <col min="2" max="2" width="12.00390625" style="0" bestFit="1" customWidth="1"/>
    <col min="3" max="3" width="17.140625" style="0" customWidth="1"/>
    <col min="4" max="4" width="18.140625" style="0" customWidth="1"/>
    <col min="5" max="5" width="17.421875" style="0" customWidth="1"/>
    <col min="6" max="6" width="13.00390625" style="0" customWidth="1"/>
    <col min="7" max="7" width="11.7109375" style="0" customWidth="1"/>
    <col min="8" max="8" width="14.28125" style="0" customWidth="1"/>
    <col min="9" max="9" width="11.7109375" style="0" customWidth="1"/>
    <col min="10" max="10" width="13.140625" style="0" bestFit="1" customWidth="1"/>
    <col min="11" max="11" width="12.421875" style="0" bestFit="1" customWidth="1"/>
  </cols>
  <sheetData>
    <row r="1" ht="12.75">
      <c r="A1" s="2" t="s">
        <v>53</v>
      </c>
    </row>
    <row r="2" spans="1:6" ht="12.75">
      <c r="A2" s="4" t="s">
        <v>35</v>
      </c>
      <c r="B2" s="4"/>
      <c r="C2" s="5">
        <v>6E-20</v>
      </c>
      <c r="D2" s="4" t="s">
        <v>38</v>
      </c>
      <c r="E2" s="9" t="s">
        <v>50</v>
      </c>
      <c r="F2" s="4"/>
    </row>
    <row r="3" spans="1:9" ht="12.75">
      <c r="A3" s="4" t="s">
        <v>37</v>
      </c>
      <c r="B3" s="4"/>
      <c r="C3" s="5">
        <v>6E-20</v>
      </c>
      <c r="D3" s="4" t="s">
        <v>38</v>
      </c>
      <c r="E3" s="10" t="s">
        <v>51</v>
      </c>
      <c r="F3" s="6"/>
      <c r="G3" s="6"/>
      <c r="H3" s="6"/>
      <c r="I3" t="s">
        <v>47</v>
      </c>
    </row>
    <row r="4" spans="1:9" ht="14.25">
      <c r="A4" s="4" t="s">
        <v>36</v>
      </c>
      <c r="B4" s="4"/>
      <c r="C4" s="5">
        <v>5E-20</v>
      </c>
      <c r="D4" s="4" t="s">
        <v>38</v>
      </c>
      <c r="E4" s="6" t="s">
        <v>32</v>
      </c>
      <c r="F4" s="6"/>
      <c r="G4" s="7">
        <v>8.85419E-12</v>
      </c>
      <c r="H4" s="6" t="s">
        <v>52</v>
      </c>
      <c r="I4" t="s">
        <v>48</v>
      </c>
    </row>
    <row r="5" spans="1:9" ht="12.75">
      <c r="A5" t="s">
        <v>4</v>
      </c>
      <c r="C5" s="1">
        <v>2E-06</v>
      </c>
      <c r="D5" t="s">
        <v>5</v>
      </c>
      <c r="E5" s="6" t="s">
        <v>33</v>
      </c>
      <c r="F5" s="6"/>
      <c r="G5" s="6">
        <v>81</v>
      </c>
      <c r="H5" s="6"/>
      <c r="I5" t="s">
        <v>60</v>
      </c>
    </row>
    <row r="6" spans="1:9" ht="12.75">
      <c r="A6" s="6" t="s">
        <v>23</v>
      </c>
      <c r="B6" s="6"/>
      <c r="C6" s="6">
        <v>-0.03</v>
      </c>
      <c r="D6" s="6" t="s">
        <v>19</v>
      </c>
      <c r="I6" t="s">
        <v>61</v>
      </c>
    </row>
    <row r="7" spans="1:9" ht="14.25">
      <c r="A7" s="6" t="s">
        <v>24</v>
      </c>
      <c r="B7" s="6"/>
      <c r="C7" s="6">
        <v>-0.03</v>
      </c>
      <c r="D7" s="6" t="s">
        <v>19</v>
      </c>
      <c r="E7" t="s">
        <v>6</v>
      </c>
      <c r="G7" s="1">
        <f>4*3.142*G4*G5</f>
        <v>9.01363625352E-09</v>
      </c>
      <c r="H7" t="s">
        <v>52</v>
      </c>
      <c r="I7" t="s">
        <v>62</v>
      </c>
    </row>
    <row r="8" spans="1:4" ht="14.25">
      <c r="A8" s="6" t="s">
        <v>7</v>
      </c>
      <c r="B8" s="6"/>
      <c r="C8" s="7">
        <v>1.38E-23</v>
      </c>
      <c r="D8" s="6" t="s">
        <v>29</v>
      </c>
    </row>
    <row r="9" spans="1:6" ht="12.75">
      <c r="A9" s="6" t="s">
        <v>16</v>
      </c>
      <c r="B9" s="6"/>
      <c r="C9" s="6">
        <v>0.01</v>
      </c>
      <c r="D9" s="6" t="s">
        <v>18</v>
      </c>
      <c r="F9" s="11" t="s">
        <v>66</v>
      </c>
    </row>
    <row r="10" spans="1:6" ht="12.75">
      <c r="A10" s="6" t="s">
        <v>17</v>
      </c>
      <c r="B10" s="6"/>
      <c r="C10" s="6">
        <v>0.01</v>
      </c>
      <c r="D10" s="6" t="s">
        <v>18</v>
      </c>
      <c r="F10" s="11" t="s">
        <v>67</v>
      </c>
    </row>
    <row r="11" spans="1:6" ht="12.75">
      <c r="A11" s="6" t="s">
        <v>14</v>
      </c>
      <c r="B11" s="6"/>
      <c r="C11" s="6">
        <v>1</v>
      </c>
      <c r="D11" s="6"/>
      <c r="E11" t="s">
        <v>34</v>
      </c>
      <c r="F11" s="11" t="s">
        <v>68</v>
      </c>
    </row>
    <row r="12" spans="1:6" ht="12.75">
      <c r="A12" s="6" t="s">
        <v>15</v>
      </c>
      <c r="B12" s="6"/>
      <c r="C12" s="6">
        <v>1</v>
      </c>
      <c r="D12" s="6"/>
      <c r="F12" s="11" t="s">
        <v>69</v>
      </c>
    </row>
    <row r="13" spans="1:4" ht="12.75">
      <c r="A13" s="6" t="s">
        <v>10</v>
      </c>
      <c r="B13" s="6"/>
      <c r="C13" s="7">
        <v>1.6E-19</v>
      </c>
      <c r="D13" s="6" t="s">
        <v>11</v>
      </c>
    </row>
    <row r="14" spans="1:4" ht="12.75">
      <c r="A14" s="6" t="s">
        <v>13</v>
      </c>
      <c r="B14" s="6"/>
      <c r="C14" s="6">
        <f>25+273</f>
        <v>298</v>
      </c>
      <c r="D14" s="6" t="s">
        <v>12</v>
      </c>
    </row>
    <row r="15" spans="1:4" ht="12.75">
      <c r="A15" s="8" t="s">
        <v>54</v>
      </c>
      <c r="B15" s="6"/>
      <c r="C15" s="6"/>
      <c r="D15" s="6"/>
    </row>
    <row r="16" spans="1:7" ht="14.25">
      <c r="A16" s="6" t="s">
        <v>6</v>
      </c>
      <c r="B16" s="6"/>
      <c r="C16" s="7">
        <f>G7</f>
        <v>9.01363625352E-09</v>
      </c>
      <c r="D16" s="6" t="s">
        <v>28</v>
      </c>
      <c r="E16" t="s">
        <v>39</v>
      </c>
      <c r="F16" s="1">
        <f>(C2^0.5-C4^0.5)*(C3^0.5-C4^0.5)</f>
        <v>4.55488498966777E-22</v>
      </c>
      <c r="G16" t="s">
        <v>38</v>
      </c>
    </row>
    <row r="17" spans="1:4" ht="14.25">
      <c r="A17" s="6" t="s">
        <v>8</v>
      </c>
      <c r="B17" s="6"/>
      <c r="C17" s="6">
        <f>6E+23*1000*C9</f>
        <v>6E+24</v>
      </c>
      <c r="D17" s="6" t="s">
        <v>30</v>
      </c>
    </row>
    <row r="18" spans="1:4" ht="14.25">
      <c r="A18" s="6" t="s">
        <v>9</v>
      </c>
      <c r="B18" s="6"/>
      <c r="C18" s="6">
        <f>6E+23*1000*C10</f>
        <v>6E+24</v>
      </c>
      <c r="D18" s="6" t="s">
        <v>30</v>
      </c>
    </row>
    <row r="19" spans="1:4" ht="14.25">
      <c r="A19" s="6" t="s">
        <v>49</v>
      </c>
      <c r="B19" s="6"/>
      <c r="C19" s="7">
        <f>(C17*C13^2*C11^2/(C16*C8*C14)+C18*C13^2*C12^2/(C16*C8*C14))^0.5</f>
        <v>91035947.43833683</v>
      </c>
      <c r="D19" s="6" t="s">
        <v>31</v>
      </c>
    </row>
    <row r="20" spans="1:4" ht="12.75">
      <c r="A20" s="6" t="s">
        <v>20</v>
      </c>
      <c r="B20" s="6"/>
      <c r="C20" s="7">
        <f>C19*C5</f>
        <v>182.07189487667367</v>
      </c>
      <c r="D20" s="6"/>
    </row>
    <row r="21" ht="12.75">
      <c r="G21" s="2" t="s">
        <v>55</v>
      </c>
    </row>
    <row r="22" spans="1:11" ht="12.75">
      <c r="A22" s="3" t="s">
        <v>21</v>
      </c>
      <c r="B22" s="3" t="s">
        <v>21</v>
      </c>
      <c r="C22" s="3" t="s">
        <v>1</v>
      </c>
      <c r="D22" s="3" t="s">
        <v>1</v>
      </c>
      <c r="E22" s="3" t="s">
        <v>40</v>
      </c>
      <c r="F22" s="3" t="s">
        <v>41</v>
      </c>
      <c r="G22" s="3" t="s">
        <v>44</v>
      </c>
      <c r="H22" s="2" t="s">
        <v>46</v>
      </c>
      <c r="I22" s="3" t="s">
        <v>56</v>
      </c>
      <c r="J22" s="3" t="s">
        <v>65</v>
      </c>
      <c r="K22" s="3" t="s">
        <v>65</v>
      </c>
    </row>
    <row r="23" spans="1:11" ht="12.75">
      <c r="A23" s="3" t="s">
        <v>22</v>
      </c>
      <c r="B23" s="3" t="s">
        <v>22</v>
      </c>
      <c r="C23" s="3" t="s">
        <v>0</v>
      </c>
      <c r="D23" s="3" t="s">
        <v>0</v>
      </c>
      <c r="E23" s="3"/>
      <c r="F23" s="3" t="s">
        <v>42</v>
      </c>
      <c r="G23" s="3" t="s">
        <v>43</v>
      </c>
      <c r="H23" s="3" t="s">
        <v>43</v>
      </c>
      <c r="I23" s="3" t="s">
        <v>57</v>
      </c>
      <c r="J23" s="3" t="s">
        <v>42</v>
      </c>
      <c r="K23" s="3" t="s">
        <v>42</v>
      </c>
    </row>
    <row r="24" spans="1:11" ht="12.75">
      <c r="A24" s="3"/>
      <c r="B24" s="3"/>
      <c r="C24" s="3" t="s">
        <v>2</v>
      </c>
      <c r="D24" s="3" t="s">
        <v>3</v>
      </c>
      <c r="E24" s="3"/>
      <c r="F24" s="3" t="s">
        <v>43</v>
      </c>
      <c r="G24" s="3" t="s">
        <v>45</v>
      </c>
      <c r="H24" s="3" t="s">
        <v>45</v>
      </c>
      <c r="I24" s="3" t="s">
        <v>58</v>
      </c>
      <c r="J24" s="3" t="s">
        <v>43</v>
      </c>
      <c r="K24" s="3" t="s">
        <v>63</v>
      </c>
    </row>
    <row r="25" spans="1:11" ht="12.75">
      <c r="A25" s="3" t="s">
        <v>25</v>
      </c>
      <c r="B25" s="3" t="s">
        <v>26</v>
      </c>
      <c r="C25" s="3" t="s">
        <v>27</v>
      </c>
      <c r="D25" s="3" t="s">
        <v>27</v>
      </c>
      <c r="E25" s="3"/>
      <c r="F25" s="3" t="s">
        <v>27</v>
      </c>
      <c r="G25" s="3" t="s">
        <v>27</v>
      </c>
      <c r="H25" s="3" t="s">
        <v>64</v>
      </c>
      <c r="I25" s="3" t="s">
        <v>59</v>
      </c>
      <c r="J25" s="3" t="s">
        <v>27</v>
      </c>
      <c r="K25" s="3" t="s">
        <v>59</v>
      </c>
    </row>
    <row r="26" spans="1:13" ht="12.75">
      <c r="A26">
        <v>0.001</v>
      </c>
      <c r="B26">
        <f aca="true" t="shared" si="0" ref="B26:B34">A26/1000000</f>
        <v>1E-09</v>
      </c>
      <c r="C26" s="1">
        <f aca="true" t="shared" si="1" ref="C26:C34">$C$16*$C$5/4*(2*$C$6*$C$7*LN((1+EXP(-$C$19*$B26))/(1-EXP(-$C$19*$B26)))+($C$6^2+$C$7^2)*LN(1-EXP(-2*$C$19*$B26)))</f>
        <v>1.0524291278507891E-17</v>
      </c>
      <c r="D26" s="1">
        <f aca="true" t="shared" si="2" ref="D26:D34">$C$16*$C$5/4*(2*$C$6*$C$7*LN((1+EXP(-$C$19*$B26))/(1-EXP(-$C$19*$B26)))-($C$6^2+$C$7^2)*LN(1-EXP(-2*$C$19*$B26)))</f>
        <v>3.9615042314146043E-17</v>
      </c>
      <c r="E26" s="1">
        <f>B26/$C$5</f>
        <v>0.0005</v>
      </c>
      <c r="F26" s="1">
        <f>-$F$16/12*(2*(1+E26)/(E26*(2+E26))+LN(E26/(2+E26)))</f>
        <v>-7.561889393186553E-20</v>
      </c>
      <c r="G26" s="1">
        <f>C26+F26</f>
        <v>1.0448672384576026E-17</v>
      </c>
      <c r="H26" s="1">
        <f>G26/$C$8*1/$C$14</f>
        <v>2540.7723919307523</v>
      </c>
      <c r="J26">
        <f>-$F$16*$C$5/(6*B26)</f>
        <v>-1.518294996555923E-19</v>
      </c>
      <c r="L26" s="1">
        <f>E26^2+4*E26</f>
        <v>0.00200025</v>
      </c>
      <c r="M26" s="1">
        <f>-$F$16/(6*$C$5)*(2/L26+2/(L26+1)+LN(L26/(L26+1)))</f>
        <v>-3.7792432725955786E-14</v>
      </c>
    </row>
    <row r="27" spans="1:13" ht="12.75">
      <c r="A27">
        <f aca="true" t="shared" si="3" ref="A27:A32">2*A26</f>
        <v>0.002</v>
      </c>
      <c r="B27">
        <f t="shared" si="0"/>
        <v>2E-09</v>
      </c>
      <c r="C27" s="1">
        <f t="shared" si="1"/>
        <v>9.836119106914472E-18</v>
      </c>
      <c r="D27" s="1">
        <f t="shared" si="2"/>
        <v>2.909075103563815E-17</v>
      </c>
      <c r="E27" s="1">
        <f aca="true" t="shared" si="4" ref="E27:E32">B27/$C$5</f>
        <v>0.001</v>
      </c>
      <c r="F27" s="1">
        <f aca="true" t="shared" si="5" ref="F27:F34">-$F$16/12*(2*(1+E27)/(E27*(2+E27))+LN(E27/(2+E27)))</f>
        <v>-3.768781483846843E-20</v>
      </c>
      <c r="G27" s="1">
        <f aca="true" t="shared" si="6" ref="G27:G32">C27+F27</f>
        <v>9.798431292076003E-18</v>
      </c>
      <c r="H27" s="1">
        <f aca="true" t="shared" si="7" ref="H27:H34">G27/$C$8*1/$C$14</f>
        <v>2382.6552115737777</v>
      </c>
      <c r="I27">
        <f>(G28-G26)/(B28-B26)</f>
        <v>-6.359977466988363E-10</v>
      </c>
      <c r="J27">
        <f aca="true" t="shared" si="8" ref="J27:J34">-$F$16*$C$5/(12*B27)</f>
        <v>-3.7957374913898077E-20</v>
      </c>
      <c r="K27">
        <f>(J28-J26)/(B28-B26)</f>
        <v>4.428360406621441E-11</v>
      </c>
      <c r="L27" s="1">
        <f aca="true" t="shared" si="9" ref="L27:L34">E27^2+4*E27</f>
        <v>0.004001</v>
      </c>
      <c r="M27" s="1">
        <f aca="true" t="shared" si="10" ref="M27:M34">-$F$16/(6*$C$5)*(2/L27+2/(L27+1)+LN(L27/(L27+1)))</f>
        <v>-1.8839833957842516E-14</v>
      </c>
    </row>
    <row r="28" spans="1:13" ht="12.75">
      <c r="A28">
        <f t="shared" si="3"/>
        <v>0.004</v>
      </c>
      <c r="B28">
        <f t="shared" si="0"/>
        <v>4E-09</v>
      </c>
      <c r="C28" s="1">
        <f t="shared" si="1"/>
        <v>8.559414553468848E-18</v>
      </c>
      <c r="D28" s="1">
        <f t="shared" si="2"/>
        <v>1.9254631928723677E-17</v>
      </c>
      <c r="E28" s="1">
        <f t="shared" si="4"/>
        <v>0.002</v>
      </c>
      <c r="F28" s="1">
        <f t="shared" si="5"/>
        <v>-1.873540898933161E-20</v>
      </c>
      <c r="G28" s="1">
        <f t="shared" si="6"/>
        <v>8.540679144479516E-18</v>
      </c>
      <c r="H28" s="1">
        <f t="shared" si="7"/>
        <v>2076.811386168543</v>
      </c>
      <c r="I28">
        <f aca="true" t="shared" si="11" ref="I28:I33">(G29-G27)/(B29-B27)</f>
        <v>-5.695074920453313E-10</v>
      </c>
      <c r="J28">
        <f t="shared" si="8"/>
        <v>-1.8978687456949038E-20</v>
      </c>
      <c r="K28">
        <f aca="true" t="shared" si="12" ref="K28:K33">(J29-J27)/(B29-B27)</f>
        <v>4.744671864237259E-12</v>
      </c>
      <c r="L28" s="1">
        <f t="shared" si="9"/>
        <v>0.008004</v>
      </c>
      <c r="M28" s="1">
        <f t="shared" si="10"/>
        <v>-9.376359638505676E-15</v>
      </c>
    </row>
    <row r="29" spans="1:13" ht="12.75">
      <c r="A29">
        <f t="shared" si="3"/>
        <v>0.008</v>
      </c>
      <c r="B29">
        <f t="shared" si="0"/>
        <v>8E-09</v>
      </c>
      <c r="C29" s="1">
        <f t="shared" si="1"/>
        <v>6.3906586582898645E-18</v>
      </c>
      <c r="D29" s="1">
        <f t="shared" si="2"/>
        <v>1.0695217375254827E-17</v>
      </c>
      <c r="E29" s="1">
        <f t="shared" si="4"/>
        <v>0.004</v>
      </c>
      <c r="F29" s="1">
        <f t="shared" si="5"/>
        <v>-9.272318485848875E-21</v>
      </c>
      <c r="G29" s="1">
        <f t="shared" si="6"/>
        <v>6.3813863398040156E-18</v>
      </c>
      <c r="H29" s="1">
        <f t="shared" si="7"/>
        <v>1551.7426174020075</v>
      </c>
      <c r="I29">
        <f t="shared" si="11"/>
        <v>-4.2888033159711494E-10</v>
      </c>
      <c r="J29">
        <f t="shared" si="8"/>
        <v>-9.489343728474519E-21</v>
      </c>
      <c r="K29">
        <f t="shared" si="12"/>
        <v>1.1861679660593148E-12</v>
      </c>
      <c r="L29" s="1">
        <f t="shared" si="9"/>
        <v>0.016016</v>
      </c>
      <c r="M29" s="1">
        <f t="shared" si="10"/>
        <v>-4.657124760267896E-15</v>
      </c>
    </row>
    <row r="30" spans="1:13" ht="12.75">
      <c r="A30">
        <f t="shared" si="3"/>
        <v>0.016</v>
      </c>
      <c r="B30">
        <f t="shared" si="0"/>
        <v>1.6E-08</v>
      </c>
      <c r="C30" s="1">
        <f t="shared" si="1"/>
        <v>3.39866900856475E-18</v>
      </c>
      <c r="D30" s="1">
        <f t="shared" si="2"/>
        <v>4.304558716964964E-18</v>
      </c>
      <c r="E30" s="1">
        <f t="shared" si="4"/>
        <v>0.008</v>
      </c>
      <c r="F30" s="1">
        <f t="shared" si="5"/>
        <v>-4.553843250613859E-21</v>
      </c>
      <c r="G30" s="1">
        <f t="shared" si="6"/>
        <v>3.394115165314136E-18</v>
      </c>
      <c r="H30" s="1">
        <f t="shared" si="7"/>
        <v>825.3368265037778</v>
      </c>
      <c r="I30">
        <f t="shared" si="11"/>
        <v>-2.302341893238664E-10</v>
      </c>
      <c r="J30">
        <f t="shared" si="8"/>
        <v>-4.7446718642372596E-21</v>
      </c>
      <c r="K30">
        <f t="shared" si="12"/>
        <v>2.965419915148287E-13</v>
      </c>
      <c r="L30" s="1">
        <f t="shared" si="9"/>
        <v>0.032064</v>
      </c>
      <c r="M30" s="1">
        <f t="shared" si="10"/>
        <v>-2.309384831552462E-15</v>
      </c>
    </row>
    <row r="31" spans="1:13" ht="12.75">
      <c r="A31">
        <f t="shared" si="3"/>
        <v>0.032</v>
      </c>
      <c r="B31">
        <f t="shared" si="0"/>
        <v>3.2E-08</v>
      </c>
      <c r="C31" s="1">
        <f t="shared" si="1"/>
        <v>8.57973387460761E-19</v>
      </c>
      <c r="D31" s="1">
        <f t="shared" si="2"/>
        <v>9.058897084002142E-19</v>
      </c>
      <c r="E31" s="1">
        <f t="shared" si="4"/>
        <v>0.016</v>
      </c>
      <c r="F31" s="1">
        <f t="shared" si="5"/>
        <v>-2.207591429540494E-21</v>
      </c>
      <c r="G31" s="1">
        <f t="shared" si="6"/>
        <v>8.557657960312205E-19</v>
      </c>
      <c r="H31" s="1">
        <f t="shared" si="7"/>
        <v>208.09400739986881</v>
      </c>
      <c r="I31">
        <f t="shared" si="11"/>
        <v>-6.973723386128595E-11</v>
      </c>
      <c r="J31">
        <f t="shared" si="8"/>
        <v>-2.3723359321186298E-21</v>
      </c>
      <c r="K31">
        <f t="shared" si="12"/>
        <v>7.413549787870717E-14</v>
      </c>
      <c r="L31" s="1">
        <f t="shared" si="9"/>
        <v>0.06425600000000001</v>
      </c>
      <c r="M31" s="1">
        <f t="shared" si="10"/>
        <v>-1.14622120597597E-15</v>
      </c>
    </row>
    <row r="32" spans="1:13" ht="12.75">
      <c r="A32">
        <f t="shared" si="3"/>
        <v>0.064</v>
      </c>
      <c r="B32">
        <f t="shared" si="0"/>
        <v>6.4E-08</v>
      </c>
      <c r="C32" s="1">
        <f t="shared" si="1"/>
        <v>4.7775225170967985E-20</v>
      </c>
      <c r="D32" s="1">
        <f t="shared" si="2"/>
        <v>4.791632093945231E-20</v>
      </c>
      <c r="E32" s="1">
        <f t="shared" si="4"/>
        <v>0.032</v>
      </c>
      <c r="F32" s="1">
        <f t="shared" si="5"/>
        <v>-1.0472851985576912E-21</v>
      </c>
      <c r="G32" s="1">
        <f t="shared" si="6"/>
        <v>4.6727939972410294E-20</v>
      </c>
      <c r="H32" s="1">
        <f t="shared" si="7"/>
        <v>11.362693311061738</v>
      </c>
      <c r="I32">
        <f t="shared" si="11"/>
        <v>-8.917753437991378E-12</v>
      </c>
      <c r="J32">
        <f t="shared" si="8"/>
        <v>-1.1861679660593149E-21</v>
      </c>
      <c r="K32">
        <f t="shared" si="12"/>
        <v>1.8533874469676793E-14</v>
      </c>
      <c r="L32" s="1">
        <f t="shared" si="9"/>
        <v>0.129024</v>
      </c>
      <c r="M32" s="1">
        <f t="shared" si="10"/>
        <v>-5.732825012865277E-16</v>
      </c>
    </row>
    <row r="33" spans="1:13" ht="12.75">
      <c r="A33">
        <f>2*A32</f>
        <v>0.128</v>
      </c>
      <c r="B33">
        <f t="shared" si="0"/>
        <v>1.28E-07</v>
      </c>
      <c r="C33" s="1">
        <f t="shared" si="1"/>
        <v>1.410945414643766E-22</v>
      </c>
      <c r="D33" s="1">
        <f t="shared" si="2"/>
        <v>1.410957684844408E-22</v>
      </c>
      <c r="E33" s="1">
        <f>B33/$C$5</f>
        <v>0.064</v>
      </c>
      <c r="F33" s="1">
        <f t="shared" si="5"/>
        <v>-4.79628557416315E-22</v>
      </c>
      <c r="G33" s="1">
        <f>C33+F33</f>
        <v>-3.3853401595193844E-22</v>
      </c>
      <c r="H33" s="1">
        <f t="shared" si="7"/>
        <v>-0.08232030346073788</v>
      </c>
      <c r="I33">
        <f t="shared" si="11"/>
        <v>-2.4445637070866734E-13</v>
      </c>
      <c r="J33">
        <f t="shared" si="8"/>
        <v>-5.930839830296574E-22</v>
      </c>
      <c r="K33">
        <f t="shared" si="12"/>
        <v>4.633468617419198E-15</v>
      </c>
      <c r="L33" s="1">
        <f t="shared" si="9"/>
        <v>0.260096</v>
      </c>
      <c r="M33" s="1">
        <f t="shared" si="10"/>
        <v>-2.9222459706341504E-16</v>
      </c>
    </row>
    <row r="34" spans="1:13" ht="12.75">
      <c r="A34">
        <f>2*A33</f>
        <v>0.256</v>
      </c>
      <c r="B34">
        <f t="shared" si="0"/>
        <v>2.56E-07</v>
      </c>
      <c r="C34" s="1">
        <f t="shared" si="1"/>
        <v>1.2270218653818383E-27</v>
      </c>
      <c r="D34" s="1">
        <f t="shared" si="2"/>
        <v>1.2270218653818383E-27</v>
      </c>
      <c r="E34" s="1">
        <f>B34/$C$5</f>
        <v>0.128</v>
      </c>
      <c r="F34" s="1">
        <f t="shared" si="5"/>
        <v>-2.076844306757055E-22</v>
      </c>
      <c r="G34" s="1">
        <f>C34+F34</f>
        <v>-2.076832036538401E-22</v>
      </c>
      <c r="H34" s="1">
        <f t="shared" si="7"/>
        <v>-0.05050170305754306</v>
      </c>
      <c r="J34">
        <f t="shared" si="8"/>
        <v>-2.965419915148287E-22</v>
      </c>
      <c r="L34" s="1">
        <f t="shared" si="9"/>
        <v>0.528384</v>
      </c>
      <c r="M34" s="1">
        <f t="shared" si="10"/>
        <v>-1.5302723254638122E-16</v>
      </c>
    </row>
  </sheetData>
  <printOptions/>
  <pageMargins left="0.75" right="0.75" top="1" bottom="1" header="0.5" footer="0.5"/>
  <pageSetup fitToHeight="1" fitToWidth="1" horizontalDpi="300" verticalDpi="300" orientation="landscape" paperSize="9" scale="92" r:id="rId5"/>
  <drawing r:id="rId4"/>
  <legacyDrawing r:id="rId3"/>
  <oleObjects>
    <oleObject progId="Equation.3" shapeId="78931" r:id="rId1"/>
    <oleObject progId="Equation.3" shapeId="99338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</dc:creator>
  <cp:keywords/>
  <dc:description/>
  <cp:lastModifiedBy>Richard Holdich</cp:lastModifiedBy>
  <cp:lastPrinted>2001-07-13T10:01:10Z</cp:lastPrinted>
  <dcterms:created xsi:type="dcterms:W3CDTF">2001-07-06T15:51:01Z</dcterms:created>
  <dcterms:modified xsi:type="dcterms:W3CDTF">2002-09-30T10:55:28Z</dcterms:modified>
  <cp:category/>
  <cp:version/>
  <cp:contentType/>
  <cp:contentStatus/>
</cp:coreProperties>
</file>